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ljefjäll\Stöten\GA 1_6\2020\"/>
    </mc:Choice>
  </mc:AlternateContent>
  <xr:revisionPtr revIDLastSave="0" documentId="8_{5ECC5C9D-3FF0-4DC5-BCD3-12C37F8A459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ill Årsstämman 2020" sheetId="4" r:id="rId1"/>
    <sheet name="Balans_20191231" sheetId="2" r:id="rId2"/>
    <sheet name="Flerårsäversikt" sheetId="3" r:id="rId3"/>
  </sheets>
  <definedNames>
    <definedName name="_xlnm.Print_Area" localSheetId="0">'Till Årsstämman 2020'!$B$1:$H$36,'Till Årsstämman 2020'!$L$1:$O$28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4" l="1"/>
  <c r="P30" i="4"/>
  <c r="H33" i="4" l="1"/>
  <c r="H38" i="4" l="1"/>
  <c r="G38" i="4"/>
  <c r="M27" i="4"/>
  <c r="M26" i="4"/>
  <c r="O36" i="4"/>
  <c r="O35" i="4"/>
  <c r="G21" i="4"/>
  <c r="G20" i="4"/>
  <c r="D18" i="4"/>
  <c r="D13" i="4"/>
  <c r="D10" i="4"/>
  <c r="D31" i="4"/>
  <c r="D20" i="4"/>
  <c r="G28" i="2"/>
  <c r="F14" i="2"/>
  <c r="E14" i="2"/>
  <c r="G13" i="2"/>
  <c r="F19" i="2" l="1"/>
  <c r="E19" i="2"/>
  <c r="K14" i="2"/>
  <c r="G4" i="4" s="1"/>
  <c r="J14" i="2"/>
  <c r="E4" i="4" s="1"/>
  <c r="F20" i="2"/>
  <c r="E20" i="2"/>
  <c r="F16" i="2"/>
  <c r="E16" i="2"/>
  <c r="G25" i="4" l="1"/>
  <c r="C32" i="4" l="1"/>
  <c r="G31" i="4"/>
  <c r="H31" i="4" s="1"/>
  <c r="G30" i="4"/>
  <c r="H30" i="4" s="1"/>
  <c r="G28" i="4"/>
  <c r="H28" i="4" s="1"/>
  <c r="H18" i="4"/>
  <c r="E18" i="4" s="1"/>
  <c r="H14" i="4"/>
  <c r="D11" i="4"/>
  <c r="C11" i="4"/>
  <c r="G29" i="4" l="1"/>
  <c r="H29" i="4" s="1"/>
  <c r="H27" i="4"/>
  <c r="G27" i="4"/>
  <c r="E27" i="4"/>
  <c r="D27" i="4"/>
  <c r="H26" i="4"/>
  <c r="G26" i="4"/>
  <c r="E26" i="4"/>
  <c r="D26" i="4"/>
  <c r="H25" i="4"/>
  <c r="H24" i="4"/>
  <c r="G24" i="4"/>
  <c r="E24" i="4"/>
  <c r="H23" i="4"/>
  <c r="G23" i="4"/>
  <c r="E23" i="4"/>
  <c r="H22" i="4"/>
  <c r="G22" i="4"/>
  <c r="E22" i="4"/>
  <c r="H21" i="4"/>
  <c r="H20" i="4"/>
  <c r="G19" i="4"/>
  <c r="H19" i="4"/>
  <c r="G18" i="4"/>
  <c r="E3" i="3"/>
  <c r="F3" i="3" s="1"/>
  <c r="G3" i="3" s="1"/>
  <c r="H3" i="3" s="1"/>
  <c r="D14" i="4"/>
  <c r="H11" i="4" l="1"/>
  <c r="E11" i="4" s="1"/>
  <c r="D32" i="4"/>
  <c r="E32" i="4"/>
  <c r="E33" i="4" s="1"/>
  <c r="G32" i="4"/>
  <c r="H32" i="4"/>
  <c r="G39" i="4" l="1"/>
  <c r="G33" i="4"/>
  <c r="G14" i="2"/>
  <c r="G15" i="2"/>
  <c r="G16" i="2"/>
  <c r="G17" i="2"/>
  <c r="G18" i="2"/>
  <c r="G20" i="2"/>
  <c r="E21" i="2"/>
  <c r="G19" i="2"/>
  <c r="E23" i="2" l="1"/>
  <c r="F21" i="2"/>
  <c r="F23" i="2" l="1"/>
  <c r="J38" i="4"/>
  <c r="G21" i="2"/>
  <c r="O27" i="4"/>
  <c r="E12" i="4"/>
  <c r="N6" i="4"/>
  <c r="H12" i="4"/>
  <c r="H10" i="4"/>
  <c r="G14" i="4"/>
  <c r="G12" i="4"/>
  <c r="G11" i="4"/>
  <c r="D12" i="4"/>
  <c r="P31" i="4"/>
  <c r="G23" i="2" l="1"/>
  <c r="O26" i="4"/>
  <c r="O28" i="4" s="1"/>
  <c r="C10" i="4"/>
  <c r="G10" i="4"/>
  <c r="E10" i="4" s="1"/>
  <c r="D15" i="4"/>
  <c r="D35" i="4" s="1"/>
  <c r="E15" i="4" l="1"/>
  <c r="M10" i="4"/>
  <c r="Q36" i="4" l="1"/>
  <c r="P36" i="4"/>
  <c r="Q35" i="4"/>
  <c r="P35" i="4"/>
  <c r="Q32" i="4"/>
  <c r="Q31" i="4"/>
  <c r="P32" i="4"/>
  <c r="P33" i="4" s="1"/>
  <c r="P37" i="4" l="1"/>
  <c r="R36" i="4"/>
  <c r="R32" i="4"/>
  <c r="R33" i="4" s="1"/>
  <c r="Q37" i="4"/>
  <c r="S37" i="4" s="1"/>
  <c r="Q33" i="4"/>
  <c r="S33" i="4" s="1"/>
  <c r="R37" i="4" l="1"/>
  <c r="N11" i="4" l="1"/>
  <c r="C12" i="4"/>
  <c r="N16" i="4" l="1"/>
  <c r="M16" i="4"/>
  <c r="H15" i="4"/>
  <c r="H39" i="4" s="1"/>
  <c r="G15" i="4"/>
  <c r="J39" i="4" l="1"/>
  <c r="C15" i="4"/>
</calcChain>
</file>

<file path=xl/sharedStrings.xml><?xml version="1.0" encoding="utf-8"?>
<sst xmlns="http://schemas.openxmlformats.org/spreadsheetml/2006/main" count="106" uniqueCount="81">
  <si>
    <t>716457-3326</t>
  </si>
  <si>
    <t>Resultaträkningar</t>
  </si>
  <si>
    <t>Rörelsens Intäkter</t>
  </si>
  <si>
    <t>Utdebitering GA 1</t>
  </si>
  <si>
    <t>Ränteintäkter</t>
  </si>
  <si>
    <t>Summa Intäkter</t>
  </si>
  <si>
    <t>Rörelsens kostnader</t>
  </si>
  <si>
    <t>Väg normalunderhåll</t>
  </si>
  <si>
    <t>Väg specialunderhåll</t>
  </si>
  <si>
    <t>Längdspår normalunderhåll</t>
  </si>
  <si>
    <t>Längdspår barmarksunderhåll</t>
  </si>
  <si>
    <t>Elektricitet</t>
  </si>
  <si>
    <t>Röjning, markarbeten</t>
  </si>
  <si>
    <t>Skyltar</t>
  </si>
  <si>
    <t>Administration</t>
  </si>
  <si>
    <t>Tlf Porto etc</t>
  </si>
  <si>
    <t>Diverse övriga kostnader</t>
  </si>
  <si>
    <t>Summa kostnader</t>
  </si>
  <si>
    <t>Resultat</t>
  </si>
  <si>
    <t>Budget</t>
  </si>
  <si>
    <t>Fjällspår</t>
  </si>
  <si>
    <t>Revision</t>
  </si>
  <si>
    <t xml:space="preserve"> </t>
  </si>
  <si>
    <t>GA1</t>
  </si>
  <si>
    <t>Spår</t>
  </si>
  <si>
    <t>GA6</t>
  </si>
  <si>
    <t>Vägar</t>
  </si>
  <si>
    <t>Andelar</t>
  </si>
  <si>
    <t>Område</t>
  </si>
  <si>
    <t>Scoterspår normalunderhåll</t>
  </si>
  <si>
    <t>Utdebitering GA 6</t>
  </si>
  <si>
    <t>GA 1 spår och grönområden</t>
  </si>
  <si>
    <t>GA 6 vägar</t>
  </si>
  <si>
    <t xml:space="preserve">Avgift per </t>
  </si>
  <si>
    <t>andel</t>
  </si>
  <si>
    <t xml:space="preserve">Enligt redovisat budgetförslag så föreslår styrelsen följande </t>
  </si>
  <si>
    <t>Längdspår snöfond</t>
  </si>
  <si>
    <t xml:space="preserve">Utdebitering </t>
  </si>
  <si>
    <t>Ökning</t>
  </si>
  <si>
    <t>Ga1</t>
  </si>
  <si>
    <t>Ga6</t>
  </si>
  <si>
    <t>Spårunderhåll</t>
  </si>
  <si>
    <t>Vägunderhåll</t>
  </si>
  <si>
    <t>Personalkostnader</t>
  </si>
  <si>
    <t>Gemensamma kostnader</t>
  </si>
  <si>
    <t>Totalt</t>
  </si>
  <si>
    <t>Förändring under året:</t>
  </si>
  <si>
    <t>Kostnad SEK/år</t>
  </si>
  <si>
    <t>Övriga sidointäkter/statliga bidrag</t>
  </si>
  <si>
    <t>Vägfond</t>
  </si>
  <si>
    <t>Yttre underhållsfond</t>
  </si>
  <si>
    <t>VARAV FINNS FONDERAT:   Spårfond</t>
  </si>
  <si>
    <t>Antal delägare</t>
  </si>
  <si>
    <t>enl. årsredovisning</t>
  </si>
  <si>
    <t>Flerårsöversikt (Tkr)</t>
  </si>
  <si>
    <t>Nettoomsättning</t>
  </si>
  <si>
    <t>Resultat efter finansiella poster</t>
  </si>
  <si>
    <t>Soliditet (%)</t>
  </si>
  <si>
    <t>Netto korta fodringar/skulder</t>
  </si>
  <si>
    <t>Budget Andelar</t>
  </si>
  <si>
    <t>Statsbidrag Vägverket mm</t>
  </si>
  <si>
    <t>Stötens Samfällighetsförening GA 1_GA6</t>
  </si>
  <si>
    <t>Avgifter årsmötet 2019</t>
  </si>
  <si>
    <t>Statsbidrag Vägverket m m</t>
  </si>
  <si>
    <t>TOTALT</t>
  </si>
  <si>
    <t>Övriga Intäkter, från "Täkten"</t>
  </si>
  <si>
    <r>
      <rPr>
        <b/>
        <u/>
        <sz val="11"/>
        <color rgb="FF000000"/>
        <rFont val="Calibri"/>
        <family val="2"/>
      </rPr>
      <t>OFÖRÄNDRADE</t>
    </r>
    <r>
      <rPr>
        <sz val="11"/>
        <color indexed="8"/>
        <rFont val="Calibri"/>
        <family val="2"/>
      </rPr>
      <t xml:space="preserve"> utdebitering för verksamhetsåret 2019</t>
    </r>
  </si>
  <si>
    <t>Budgetförslag 2020</t>
  </si>
  <si>
    <t>Under 2019</t>
  </si>
  <si>
    <t>Ingående balans 1 Jan 2019:</t>
  </si>
  <si>
    <t>Inkomster delägare 2019</t>
  </si>
  <si>
    <t>Betalt, inkl fodringar</t>
  </si>
  <si>
    <t>Utgående balans 31 dec 2019</t>
  </si>
  <si>
    <t>???</t>
  </si>
  <si>
    <t>Budget 2020</t>
  </si>
  <si>
    <t>Jmf med 2019:</t>
  </si>
  <si>
    <t>Netto fodringar/korta skulder</t>
  </si>
  <si>
    <t>(inräknat att totalt 500 KSEK förts till Väg och Spårfond)</t>
  </si>
  <si>
    <t>UTGÅENDE BALANS 20191231</t>
  </si>
  <si>
    <r>
      <rPr>
        <b/>
        <u/>
        <sz val="11"/>
        <color theme="1"/>
        <rFont val="Calibri"/>
        <family val="2"/>
        <scheme val="minor"/>
      </rPr>
      <t>PROGNOS</t>
    </r>
    <r>
      <rPr>
        <sz val="11"/>
        <color theme="1"/>
        <rFont val="Calibri"/>
        <family val="2"/>
        <scheme val="minor"/>
      </rPr>
      <t xml:space="preserve"> UTGÅENDE BALANS 20201231</t>
    </r>
  </si>
  <si>
    <t>Prel resultat-2020, inkl avsättningar till fonder: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</si>
</sst>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0.0%"/>
    <numFmt numFmtId="166" formatCode="_-* #,##0\ _k_r_-;\-* #,##0\ _k_r_-;_-* &quot;-&quot;??\ _k_r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color indexed="8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0" xfId="0" applyNumberFormat="1"/>
    <xf numFmtId="0" fontId="2" fillId="0" borderId="2" xfId="0" applyFont="1" applyBorder="1"/>
    <xf numFmtId="0" fontId="5" fillId="0" borderId="0" xfId="0" applyFont="1"/>
    <xf numFmtId="3" fontId="7" fillId="0" borderId="0" xfId="0" applyNumberFormat="1" applyFont="1"/>
    <xf numFmtId="3" fontId="6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5" fillId="0" borderId="2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0" borderId="4" xfId="0" applyBorder="1"/>
    <xf numFmtId="0" fontId="0" fillId="0" borderId="0" xfId="0" applyAlignment="1">
      <alignment vertical="center"/>
    </xf>
    <xf numFmtId="9" fontId="0" fillId="0" borderId="0" xfId="0" applyNumberFormat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3" fontId="5" fillId="0" borderId="0" xfId="0" applyNumberFormat="1" applyFont="1"/>
    <xf numFmtId="3" fontId="9" fillId="0" borderId="0" xfId="0" applyNumberFormat="1" applyFont="1"/>
    <xf numFmtId="0" fontId="2" fillId="0" borderId="4" xfId="0" applyFont="1" applyBorder="1"/>
    <xf numFmtId="0" fontId="5" fillId="0" borderId="0" xfId="0" applyFont="1" applyAlignment="1">
      <alignment vertical="center"/>
    </xf>
    <xf numFmtId="0" fontId="1" fillId="0" borderId="0" xfId="0" applyFont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/>
    <xf numFmtId="0" fontId="7" fillId="0" borderId="0" xfId="0" applyFont="1"/>
    <xf numFmtId="0" fontId="11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Alignment="1">
      <alignment horizontal="right"/>
    </xf>
    <xf numFmtId="3" fontId="12" fillId="0" borderId="0" xfId="0" applyNumberFormat="1" applyFont="1"/>
    <xf numFmtId="0" fontId="12" fillId="0" borderId="17" xfId="0" applyFont="1" applyBorder="1" applyAlignment="1">
      <alignment horizontal="right"/>
    </xf>
    <xf numFmtId="3" fontId="12" fillId="0" borderId="18" xfId="0" applyNumberFormat="1" applyFont="1" applyBorder="1"/>
    <xf numFmtId="3" fontId="12" fillId="0" borderId="19" xfId="0" applyNumberFormat="1" applyFont="1" applyBorder="1"/>
    <xf numFmtId="3" fontId="12" fillId="3" borderId="19" xfId="0" applyNumberFormat="1" applyFont="1" applyFill="1" applyBorder="1"/>
    <xf numFmtId="3" fontId="12" fillId="4" borderId="19" xfId="0" applyNumberFormat="1" applyFont="1" applyFill="1" applyBorder="1"/>
    <xf numFmtId="0" fontId="12" fillId="4" borderId="2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right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3" fontId="12" fillId="4" borderId="17" xfId="0" applyNumberFormat="1" applyFont="1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12" fillId="3" borderId="17" xfId="0" applyNumberFormat="1" applyFont="1" applyFill="1" applyBorder="1"/>
    <xf numFmtId="0" fontId="13" fillId="0" borderId="27" xfId="0" applyFont="1" applyBorder="1" applyAlignment="1">
      <alignment horizontal="center"/>
    </xf>
    <xf numFmtId="3" fontId="12" fillId="4" borderId="16" xfId="0" applyNumberFormat="1" applyFont="1" applyFill="1" applyBorder="1"/>
    <xf numFmtId="3" fontId="0" fillId="0" borderId="28" xfId="0" applyNumberFormat="1" applyBorder="1"/>
    <xf numFmtId="3" fontId="0" fillId="0" borderId="29" xfId="0" applyNumberFormat="1" applyBorder="1"/>
    <xf numFmtId="3" fontId="12" fillId="3" borderId="16" xfId="0" applyNumberFormat="1" applyFont="1" applyFill="1" applyBorder="1"/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2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5" borderId="6" xfId="0" applyFill="1" applyBorder="1"/>
    <xf numFmtId="0" fontId="5" fillId="5" borderId="9" xfId="0" applyFont="1" applyFill="1" applyBorder="1"/>
    <xf numFmtId="0" fontId="0" fillId="5" borderId="10" xfId="0" applyFill="1" applyBorder="1"/>
    <xf numFmtId="0" fontId="0" fillId="5" borderId="0" xfId="0" applyFill="1"/>
    <xf numFmtId="0" fontId="5" fillId="5" borderId="8" xfId="0" applyFont="1" applyFill="1" applyBorder="1"/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3" fontId="0" fillId="5" borderId="11" xfId="0" applyNumberFormat="1" applyFill="1" applyBorder="1"/>
    <xf numFmtId="3" fontId="0" fillId="5" borderId="12" xfId="0" applyNumberFormat="1" applyFill="1" applyBorder="1"/>
    <xf numFmtId="3" fontId="0" fillId="5" borderId="7" xfId="0" applyNumberFormat="1" applyFill="1" applyBorder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3" fontId="5" fillId="5" borderId="3" xfId="0" applyNumberFormat="1" applyFont="1" applyFill="1" applyBorder="1"/>
    <xf numFmtId="3" fontId="5" fillId="5" borderId="15" xfId="0" applyNumberFormat="1" applyFont="1" applyFill="1" applyBorder="1"/>
    <xf numFmtId="3" fontId="5" fillId="5" borderId="5" xfId="0" applyNumberFormat="1" applyFont="1" applyFill="1" applyBorder="1" applyAlignment="1">
      <alignment horizontal="center"/>
    </xf>
    <xf numFmtId="0" fontId="0" fillId="5" borderId="3" xfId="0" applyFill="1" applyBorder="1"/>
    <xf numFmtId="0" fontId="0" fillId="5" borderId="15" xfId="0" applyFill="1" applyBorder="1"/>
    <xf numFmtId="0" fontId="15" fillId="0" borderId="0" xfId="0" applyFont="1"/>
    <xf numFmtId="3" fontId="15" fillId="0" borderId="0" xfId="0" applyNumberFormat="1" applyFont="1"/>
    <xf numFmtId="3" fontId="16" fillId="0" borderId="0" xfId="0" applyNumberFormat="1" applyFont="1" applyAlignment="1">
      <alignment horizontal="right"/>
    </xf>
    <xf numFmtId="166" fontId="16" fillId="0" borderId="0" xfId="1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0" fontId="16" fillId="6" borderId="18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5" fillId="7" borderId="21" xfId="0" applyFont="1" applyFill="1" applyBorder="1"/>
    <xf numFmtId="0" fontId="0" fillId="7" borderId="32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7" borderId="33" xfId="0" applyFont="1" applyFill="1" applyBorder="1"/>
    <xf numFmtId="0" fontId="0" fillId="7" borderId="0" xfId="0" applyFill="1" applyAlignment="1">
      <alignment horizontal="center"/>
    </xf>
    <xf numFmtId="0" fontId="0" fillId="7" borderId="34" xfId="0" applyFill="1" applyBorder="1" applyAlignment="1">
      <alignment horizontal="center"/>
    </xf>
    <xf numFmtId="0" fontId="5" fillId="7" borderId="35" xfId="0" applyFont="1" applyFill="1" applyBorder="1"/>
    <xf numFmtId="0" fontId="0" fillId="7" borderId="36" xfId="0" applyFill="1" applyBorder="1" applyAlignment="1">
      <alignment horizontal="center"/>
    </xf>
    <xf numFmtId="0" fontId="0" fillId="7" borderId="37" xfId="0" applyFill="1" applyBorder="1" applyAlignment="1">
      <alignment horizontal="center"/>
    </xf>
    <xf numFmtId="0" fontId="5" fillId="5" borderId="14" xfId="0" applyFont="1" applyFill="1" applyBorder="1"/>
    <xf numFmtId="0" fontId="0" fillId="5" borderId="12" xfId="0" applyFill="1" applyBorder="1"/>
    <xf numFmtId="3" fontId="0" fillId="0" borderId="0" xfId="0" applyNumberFormat="1" applyAlignment="1">
      <alignment horizontal="left"/>
    </xf>
    <xf numFmtId="0" fontId="3" fillId="7" borderId="0" xfId="0" applyFont="1" applyFill="1"/>
    <xf numFmtId="0" fontId="0" fillId="7" borderId="0" xfId="0" applyFill="1"/>
    <xf numFmtId="0" fontId="6" fillId="7" borderId="0" xfId="0" applyFont="1" applyFill="1"/>
    <xf numFmtId="0" fontId="2" fillId="7" borderId="0" xfId="0" applyFont="1" applyFill="1"/>
    <xf numFmtId="0" fontId="0" fillId="7" borderId="21" xfId="0" applyFill="1" applyBorder="1"/>
    <xf numFmtId="0" fontId="18" fillId="7" borderId="41" xfId="0" applyFont="1" applyFill="1" applyBorder="1" applyAlignment="1">
      <alignment horizontal="right"/>
    </xf>
    <xf numFmtId="0" fontId="17" fillId="7" borderId="32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0" fillId="7" borderId="38" xfId="0" applyFill="1" applyBorder="1"/>
    <xf numFmtId="0" fontId="17" fillId="7" borderId="42" xfId="0" applyFont="1" applyFill="1" applyBorder="1"/>
    <xf numFmtId="3" fontId="17" fillId="7" borderId="39" xfId="0" applyNumberFormat="1" applyFont="1" applyFill="1" applyBorder="1" applyAlignment="1">
      <alignment horizontal="center"/>
    </xf>
    <xf numFmtId="0" fontId="17" fillId="7" borderId="39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0" fillId="7" borderId="36" xfId="0" applyFill="1" applyBorder="1"/>
    <xf numFmtId="0" fontId="19" fillId="7" borderId="0" xfId="0" applyFont="1" applyFill="1"/>
    <xf numFmtId="0" fontId="6" fillId="7" borderId="36" xfId="0" applyFont="1" applyFill="1" applyBorder="1"/>
    <xf numFmtId="0" fontId="11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7" borderId="1" xfId="0" applyFill="1" applyBorder="1"/>
    <xf numFmtId="0" fontId="10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7" fillId="7" borderId="1" xfId="0" applyFont="1" applyFill="1" applyBorder="1"/>
    <xf numFmtId="0" fontId="6" fillId="7" borderId="1" xfId="0" applyFont="1" applyFill="1" applyBorder="1"/>
    <xf numFmtId="0" fontId="0" fillId="7" borderId="2" xfId="0" applyFill="1" applyBorder="1"/>
    <xf numFmtId="3" fontId="7" fillId="7" borderId="0" xfId="0" applyNumberFormat="1" applyFont="1" applyFill="1"/>
    <xf numFmtId="3" fontId="6" fillId="7" borderId="0" xfId="0" applyNumberFormat="1" applyFont="1" applyFill="1"/>
    <xf numFmtId="3" fontId="0" fillId="7" borderId="0" xfId="0" applyNumberFormat="1" applyFill="1"/>
    <xf numFmtId="3" fontId="7" fillId="7" borderId="1" xfId="0" applyNumberFormat="1" applyFont="1" applyFill="1" applyBorder="1"/>
    <xf numFmtId="3" fontId="6" fillId="7" borderId="1" xfId="0" applyNumberFormat="1" applyFont="1" applyFill="1" applyBorder="1"/>
    <xf numFmtId="3" fontId="10" fillId="7" borderId="1" xfId="0" applyNumberFormat="1" applyFont="1" applyFill="1" applyBorder="1"/>
    <xf numFmtId="3" fontId="9" fillId="7" borderId="1" xfId="0" applyNumberFormat="1" applyFont="1" applyFill="1" applyBorder="1"/>
    <xf numFmtId="0" fontId="2" fillId="7" borderId="13" xfId="0" applyFont="1" applyFill="1" applyBorder="1"/>
    <xf numFmtId="3" fontId="0" fillId="7" borderId="2" xfId="0" applyNumberFormat="1" applyFill="1" applyBorder="1"/>
    <xf numFmtId="3" fontId="5" fillId="7" borderId="0" xfId="0" applyNumberFormat="1" applyFont="1" applyFill="1"/>
    <xf numFmtId="0" fontId="0" fillId="8" borderId="35" xfId="0" applyFill="1" applyBorder="1"/>
    <xf numFmtId="0" fontId="0" fillId="8" borderId="43" xfId="0" applyFill="1" applyBorder="1" applyAlignment="1">
      <alignment horizontal="right"/>
    </xf>
    <xf numFmtId="165" fontId="6" fillId="8" borderId="36" xfId="0" applyNumberFormat="1" applyFont="1" applyFill="1" applyBorder="1" applyAlignment="1">
      <alignment horizontal="center"/>
    </xf>
    <xf numFmtId="0" fontId="0" fillId="8" borderId="36" xfId="0" applyFill="1" applyBorder="1"/>
    <xf numFmtId="165" fontId="6" fillId="8" borderId="37" xfId="0" applyNumberFormat="1" applyFont="1" applyFill="1" applyBorder="1" applyAlignment="1">
      <alignment horizontal="center"/>
    </xf>
    <xf numFmtId="0" fontId="2" fillId="8" borderId="1" xfId="0" applyFont="1" applyFill="1" applyBorder="1"/>
    <xf numFmtId="3" fontId="10" fillId="8" borderId="1" xfId="0" applyNumberFormat="1" applyFont="1" applyFill="1" applyBorder="1"/>
    <xf numFmtId="3" fontId="9" fillId="8" borderId="1" xfId="0" applyNumberFormat="1" applyFont="1" applyFill="1" applyBorder="1"/>
    <xf numFmtId="0" fontId="0" fillId="8" borderId="0" xfId="0" applyFill="1"/>
    <xf numFmtId="3" fontId="5" fillId="8" borderId="2" xfId="0" applyNumberFormat="1" applyFont="1" applyFill="1" applyBorder="1"/>
    <xf numFmtId="0" fontId="2" fillId="8" borderId="0" xfId="0" applyFont="1" applyFill="1"/>
    <xf numFmtId="3" fontId="10" fillId="8" borderId="4" xfId="0" applyNumberFormat="1" applyFont="1" applyFill="1" applyBorder="1"/>
    <xf numFmtId="3" fontId="9" fillId="8" borderId="4" xfId="0" applyNumberFormat="1" applyFont="1" applyFill="1" applyBorder="1"/>
    <xf numFmtId="3" fontId="5" fillId="8" borderId="4" xfId="0" applyNumberFormat="1" applyFont="1" applyFill="1" applyBorder="1"/>
    <xf numFmtId="0" fontId="22" fillId="0" borderId="0" xfId="0" applyFont="1"/>
    <xf numFmtId="3" fontId="23" fillId="0" borderId="0" xfId="0" applyNumberFormat="1" applyFont="1"/>
    <xf numFmtId="3" fontId="7" fillId="6" borderId="5" xfId="0" applyNumberFormat="1" applyFont="1" applyFill="1" applyBorder="1"/>
    <xf numFmtId="3" fontId="0" fillId="0" borderId="9" xfId="0" applyNumberFormat="1" applyBorder="1"/>
    <xf numFmtId="0" fontId="6" fillId="0" borderId="4" xfId="0" applyFont="1" applyBorder="1"/>
    <xf numFmtId="0" fontId="0" fillId="0" borderId="10" xfId="0" applyBorder="1"/>
    <xf numFmtId="0" fontId="0" fillId="6" borderId="13" xfId="0" applyFill="1" applyBorder="1"/>
    <xf numFmtId="0" fontId="6" fillId="6" borderId="1" xfId="0" applyFont="1" applyFill="1" applyBorder="1"/>
    <xf numFmtId="0" fontId="0" fillId="6" borderId="1" xfId="0" applyFill="1" applyBorder="1"/>
    <xf numFmtId="0" fontId="0" fillId="6" borderId="14" xfId="0" applyFill="1" applyBorder="1"/>
    <xf numFmtId="10" fontId="9" fillId="5" borderId="0" xfId="0" applyNumberFormat="1" applyFont="1" applyFill="1"/>
    <xf numFmtId="10" fontId="0" fillId="5" borderId="0" xfId="0" applyNumberFormat="1" applyFill="1"/>
    <xf numFmtId="0" fontId="16" fillId="6" borderId="20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45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right" indent="1"/>
    </xf>
    <xf numFmtId="3" fontId="10" fillId="2" borderId="0" xfId="0" applyNumberFormat="1" applyFont="1" applyFill="1"/>
    <xf numFmtId="3" fontId="24" fillId="2" borderId="0" xfId="0" applyNumberFormat="1" applyFont="1" applyFill="1"/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98778</xdr:colOff>
      <xdr:row>21</xdr:row>
      <xdr:rowOff>183444</xdr:rowOff>
    </xdr:from>
    <xdr:ext cx="1749778" cy="78124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5686B01-C65A-40E3-8CCE-DFD05746AD93}"/>
            </a:ext>
          </a:extLst>
        </xdr:cNvPr>
        <xdr:cNvSpPr txBox="1"/>
      </xdr:nvSpPr>
      <xdr:spPr>
        <a:xfrm>
          <a:off x="6335889" y="4226277"/>
          <a:ext cx="1749778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 i="1">
              <a:solidFill>
                <a:schemeClr val="accent1"/>
              </a:solidFill>
            </a:rPr>
            <a:t>Medel från Spårfond, inkl här budgeterat del kan</a:t>
          </a:r>
          <a:r>
            <a:rPr lang="sv-SE" sz="1100" i="1" baseline="0">
              <a:solidFill>
                <a:schemeClr val="accent1"/>
              </a:solidFill>
            </a:rPr>
            <a:t> eventuellt investeras i snöproduktionsanläggning</a:t>
          </a:r>
        </a:p>
      </xdr:txBody>
    </xdr:sp>
    <xdr:clientData/>
  </xdr:oneCellAnchor>
  <xdr:twoCellAnchor>
    <xdr:from>
      <xdr:col>9</xdr:col>
      <xdr:colOff>529167</xdr:colOff>
      <xdr:row>21</xdr:row>
      <xdr:rowOff>112889</xdr:rowOff>
    </xdr:from>
    <xdr:to>
      <xdr:col>9</xdr:col>
      <xdr:colOff>1121833</xdr:colOff>
      <xdr:row>22</xdr:row>
      <xdr:rowOff>7056</xdr:rowOff>
    </xdr:to>
    <xdr:cxnSp macro="">
      <xdr:nvCxnSpPr>
        <xdr:cNvPr id="4" name="Rak pilkoppling 3">
          <a:extLst>
            <a:ext uri="{FF2B5EF4-FFF2-40B4-BE49-F238E27FC236}">
              <a16:creationId xmlns:a16="http://schemas.microsoft.com/office/drawing/2014/main" id="{576D9188-9806-4476-B719-3990C9102FAB}"/>
            </a:ext>
          </a:extLst>
        </xdr:cNvPr>
        <xdr:cNvCxnSpPr/>
      </xdr:nvCxnSpPr>
      <xdr:spPr>
        <a:xfrm flipH="1" flipV="1">
          <a:off x="6992056" y="4155722"/>
          <a:ext cx="592666" cy="7761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13</xdr:row>
      <xdr:rowOff>19050</xdr:rowOff>
    </xdr:from>
    <xdr:to>
      <xdr:col>9</xdr:col>
      <xdr:colOff>66675</xdr:colOff>
      <xdr:row>13</xdr:row>
      <xdr:rowOff>180975</xdr:rowOff>
    </xdr:to>
    <xdr:sp macro="" textlink="">
      <xdr:nvSpPr>
        <xdr:cNvPr id="4" name="Pil: höger 3">
          <a:extLst>
            <a:ext uri="{FF2B5EF4-FFF2-40B4-BE49-F238E27FC236}">
              <a16:creationId xmlns:a16="http://schemas.microsoft.com/office/drawing/2014/main" id="{CFEAD305-80AA-4D45-980F-2A66015A860B}"/>
            </a:ext>
          </a:extLst>
        </xdr:cNvPr>
        <xdr:cNvSpPr/>
      </xdr:nvSpPr>
      <xdr:spPr>
        <a:xfrm>
          <a:off x="7019925" y="2647950"/>
          <a:ext cx="428625" cy="161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oneCellAnchor>
    <xdr:from>
      <xdr:col>8</xdr:col>
      <xdr:colOff>112345</xdr:colOff>
      <xdr:row>22</xdr:row>
      <xdr:rowOff>161192</xdr:rowOff>
    </xdr:from>
    <xdr:ext cx="1237097" cy="609013"/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E522F825-75DD-4FE3-83FE-939EC965F38A}"/>
            </a:ext>
          </a:extLst>
        </xdr:cNvPr>
        <xdr:cNvSpPr txBox="1"/>
      </xdr:nvSpPr>
      <xdr:spPr>
        <a:xfrm>
          <a:off x="7517422" y="4738077"/>
          <a:ext cx="123709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 i="1"/>
            <a:t>Inkl netto fodringar och skulder. </a:t>
          </a:r>
          <a:r>
            <a:rPr lang="sv-SE" sz="1100" b="1" i="1" u="sng"/>
            <a:t>OK</a:t>
          </a:r>
        </a:p>
      </xdr:txBody>
    </xdr:sp>
    <xdr:clientData/>
  </xdr:oneCellAnchor>
  <xdr:twoCellAnchor>
    <xdr:from>
      <xdr:col>7</xdr:col>
      <xdr:colOff>53730</xdr:colOff>
      <xdr:row>22</xdr:row>
      <xdr:rowOff>156307</xdr:rowOff>
    </xdr:from>
    <xdr:to>
      <xdr:col>8</xdr:col>
      <xdr:colOff>146537</xdr:colOff>
      <xdr:row>22</xdr:row>
      <xdr:rowOff>236122</xdr:rowOff>
    </xdr:to>
    <xdr:cxnSp macro="">
      <xdr:nvCxnSpPr>
        <xdr:cNvPr id="8" name="Rak pilkoppling 7">
          <a:extLst>
            <a:ext uri="{FF2B5EF4-FFF2-40B4-BE49-F238E27FC236}">
              <a16:creationId xmlns:a16="http://schemas.microsoft.com/office/drawing/2014/main" id="{0DB437B1-984F-4156-B518-C152A35F7F44}"/>
            </a:ext>
          </a:extLst>
        </xdr:cNvPr>
        <xdr:cNvCxnSpPr/>
      </xdr:nvCxnSpPr>
      <xdr:spPr>
        <a:xfrm flipH="1" flipV="1">
          <a:off x="7297615" y="4733192"/>
          <a:ext cx="253999" cy="798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84014</xdr:colOff>
      <xdr:row>26</xdr:row>
      <xdr:rowOff>147516</xdr:rowOff>
    </xdr:from>
    <xdr:ext cx="1237097" cy="781240"/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559A4A52-69F3-48DA-8488-87D8D11D1EB5}"/>
            </a:ext>
          </a:extLst>
        </xdr:cNvPr>
        <xdr:cNvSpPr txBox="1"/>
      </xdr:nvSpPr>
      <xdr:spPr>
        <a:xfrm>
          <a:off x="7489091" y="5540131"/>
          <a:ext cx="1237097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 i="1"/>
            <a:t>Efter avsättningar till Väg- och Spårfond om 500 KSEK, </a:t>
          </a:r>
          <a:r>
            <a:rPr lang="sv-SE" sz="1100" i="1" u="sng"/>
            <a:t>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95"/>
  <sheetViews>
    <sheetView showGridLines="0" tabSelected="1" topLeftCell="A31" zoomScale="90" zoomScaleNormal="90" workbookViewId="0">
      <selection activeCell="J42" sqref="J42"/>
    </sheetView>
  </sheetViews>
  <sheetFormatPr defaultRowHeight="14.5" x14ac:dyDescent="0.35"/>
  <cols>
    <col min="1" max="1" width="2.453125" customWidth="1"/>
    <col min="2" max="2" width="27.453125" customWidth="1"/>
    <col min="3" max="3" width="10.453125" bestFit="1" customWidth="1"/>
    <col min="4" max="4" width="10.453125" customWidth="1"/>
    <col min="5" max="5" width="10.453125" style="10" customWidth="1"/>
    <col min="6" max="6" width="3.1796875" customWidth="1"/>
    <col min="7" max="8" width="12.26953125" bestFit="1" customWidth="1"/>
    <col min="9" max="9" width="3.1796875" customWidth="1"/>
    <col min="10" max="10" width="28" customWidth="1"/>
    <col min="11" max="11" width="11.7265625" customWidth="1"/>
    <col min="12" max="12" width="25.1796875" customWidth="1"/>
    <col min="13" max="13" width="13.453125" customWidth="1"/>
    <col min="14" max="14" width="12.26953125" bestFit="1" customWidth="1"/>
    <col min="15" max="15" width="9.7265625" customWidth="1"/>
    <col min="16" max="16" width="8.26953125" customWidth="1"/>
    <col min="17" max="18" width="7.7265625" customWidth="1"/>
    <col min="19" max="19" width="6.7265625" customWidth="1"/>
  </cols>
  <sheetData>
    <row r="1" spans="2:16" ht="21.5" thickBot="1" x14ac:dyDescent="0.55000000000000004">
      <c r="B1" s="101" t="s">
        <v>61</v>
      </c>
      <c r="C1" s="102"/>
      <c r="D1" s="102"/>
      <c r="E1" s="103"/>
      <c r="F1" s="102"/>
      <c r="G1" s="102"/>
      <c r="H1" s="102"/>
      <c r="I1" s="102"/>
      <c r="L1" s="8" t="s">
        <v>61</v>
      </c>
    </row>
    <row r="2" spans="2:16" ht="16" thickBot="1" x14ac:dyDescent="0.4">
      <c r="B2" s="104" t="s">
        <v>0</v>
      </c>
      <c r="C2" s="105"/>
      <c r="D2" s="106" t="s">
        <v>59</v>
      </c>
      <c r="E2" s="107" t="s">
        <v>23</v>
      </c>
      <c r="F2" s="107"/>
      <c r="G2" s="108" t="s">
        <v>25</v>
      </c>
      <c r="H2" s="102"/>
      <c r="I2" s="102"/>
      <c r="L2" s="1" t="s">
        <v>0</v>
      </c>
    </row>
    <row r="3" spans="2:16" ht="15.5" x14ac:dyDescent="0.35">
      <c r="B3" s="104"/>
      <c r="C3" s="109"/>
      <c r="D3" s="110"/>
      <c r="E3" s="111">
        <v>76000</v>
      </c>
      <c r="F3" s="112"/>
      <c r="G3" s="113">
        <v>40000</v>
      </c>
      <c r="H3" s="102"/>
      <c r="I3" s="102"/>
      <c r="L3" s="1"/>
    </row>
    <row r="4" spans="2:16" ht="15" thickBot="1" x14ac:dyDescent="0.4">
      <c r="B4" s="102"/>
      <c r="C4" s="138"/>
      <c r="D4" s="139" t="s">
        <v>75</v>
      </c>
      <c r="E4" s="140">
        <f>E3/Balans_20191231!J14</f>
        <v>1.0222620674566081</v>
      </c>
      <c r="F4" s="141"/>
      <c r="G4" s="142">
        <f>G3/Balans_20191231!K14</f>
        <v>1.0187776021406012</v>
      </c>
      <c r="H4" s="102"/>
      <c r="I4" s="102"/>
      <c r="L4" s="25" t="s">
        <v>62</v>
      </c>
      <c r="M4" s="5"/>
    </row>
    <row r="5" spans="2:16" ht="19" thickBot="1" x14ac:dyDescent="0.5">
      <c r="B5" s="115" t="s">
        <v>67</v>
      </c>
      <c r="C5" s="114"/>
      <c r="D5" s="114"/>
      <c r="E5" s="116"/>
      <c r="F5" s="114"/>
      <c r="G5" s="114"/>
      <c r="H5" s="114"/>
      <c r="I5" s="102"/>
      <c r="K5" s="20"/>
      <c r="L5" s="1"/>
      <c r="O5" s="17" t="s">
        <v>22</v>
      </c>
    </row>
    <row r="6" spans="2:16" x14ac:dyDescent="0.35">
      <c r="B6" s="102"/>
      <c r="C6" s="117" t="s">
        <v>19</v>
      </c>
      <c r="D6" s="117" t="s">
        <v>18</v>
      </c>
      <c r="E6" s="118" t="s">
        <v>19</v>
      </c>
      <c r="F6" s="102"/>
      <c r="G6" s="119" t="s">
        <v>74</v>
      </c>
      <c r="H6" s="119" t="s">
        <v>74</v>
      </c>
      <c r="I6" s="119"/>
      <c r="J6" s="20"/>
      <c r="K6" s="20"/>
      <c r="L6" s="16"/>
      <c r="M6" s="19" t="s">
        <v>74</v>
      </c>
      <c r="N6" s="19" t="str">
        <f>M6</f>
        <v>Budget 2020</v>
      </c>
      <c r="O6" s="17"/>
    </row>
    <row r="7" spans="2:16" x14ac:dyDescent="0.35">
      <c r="B7" s="104" t="s">
        <v>1</v>
      </c>
      <c r="C7" s="119">
        <v>20190101</v>
      </c>
      <c r="D7" s="119">
        <v>20190101</v>
      </c>
      <c r="E7" s="120">
        <v>20200101</v>
      </c>
      <c r="F7" s="102"/>
      <c r="G7" s="119" t="s">
        <v>23</v>
      </c>
      <c r="H7" s="119" t="s">
        <v>25</v>
      </c>
      <c r="I7" s="119"/>
      <c r="J7" s="20"/>
      <c r="K7" s="20"/>
      <c r="L7" s="1" t="s">
        <v>1</v>
      </c>
      <c r="M7" s="20" t="s">
        <v>23</v>
      </c>
      <c r="N7" s="20" t="s">
        <v>25</v>
      </c>
      <c r="O7" s="17"/>
    </row>
    <row r="8" spans="2:16" x14ac:dyDescent="0.35">
      <c r="B8" s="121"/>
      <c r="C8" s="122">
        <v>20191231</v>
      </c>
      <c r="D8" s="122">
        <v>20191231</v>
      </c>
      <c r="E8" s="123">
        <v>20201231</v>
      </c>
      <c r="F8" s="102"/>
      <c r="G8" s="122" t="s">
        <v>24</v>
      </c>
      <c r="H8" s="122" t="s">
        <v>26</v>
      </c>
      <c r="I8" s="119"/>
      <c r="J8" s="20"/>
      <c r="L8" s="2"/>
      <c r="M8" s="21" t="s">
        <v>24</v>
      </c>
      <c r="N8" s="21" t="s">
        <v>26</v>
      </c>
      <c r="O8" s="17"/>
    </row>
    <row r="9" spans="2:16" x14ac:dyDescent="0.35">
      <c r="B9" s="124" t="s">
        <v>2</v>
      </c>
      <c r="C9" s="125"/>
      <c r="D9" s="125"/>
      <c r="E9" s="126"/>
      <c r="F9" s="102"/>
      <c r="G9" s="127"/>
      <c r="H9" s="127"/>
      <c r="I9" s="119"/>
      <c r="J9" s="20"/>
      <c r="K9" s="3"/>
      <c r="L9" s="15" t="s">
        <v>2</v>
      </c>
      <c r="M9" s="14"/>
      <c r="N9" s="14"/>
      <c r="O9" s="17"/>
    </row>
    <row r="10" spans="2:16" x14ac:dyDescent="0.35">
      <c r="B10" s="102" t="s">
        <v>3</v>
      </c>
      <c r="C10" s="128">
        <f>73200*N26</f>
        <v>966240</v>
      </c>
      <c r="D10" s="128">
        <f>Balans_20191231!E14</f>
        <v>954578.8</v>
      </c>
      <c r="E10" s="129">
        <f>G10</f>
        <v>1003200</v>
      </c>
      <c r="F10" s="102"/>
      <c r="G10" s="130">
        <f>E3*N26</f>
        <v>1003200</v>
      </c>
      <c r="H10" s="130">
        <f>E72</f>
        <v>0</v>
      </c>
      <c r="I10" s="119"/>
      <c r="J10" s="20"/>
      <c r="K10" s="3"/>
      <c r="L10" t="s">
        <v>3</v>
      </c>
      <c r="M10" s="3">
        <f>G10</f>
        <v>1003200</v>
      </c>
      <c r="N10" s="3"/>
      <c r="O10" s="17"/>
    </row>
    <row r="11" spans="2:16" x14ac:dyDescent="0.35">
      <c r="B11" s="102" t="s">
        <v>30</v>
      </c>
      <c r="C11" s="128">
        <f>38372*N27</f>
        <v>633138</v>
      </c>
      <c r="D11" s="128">
        <f>Balans_20191231!F14</f>
        <v>631247.19999999995</v>
      </c>
      <c r="E11" s="129">
        <f>H11</f>
        <v>660000</v>
      </c>
      <c r="F11" s="102"/>
      <c r="G11" s="130">
        <f>E43</f>
        <v>0</v>
      </c>
      <c r="H11" s="130">
        <f>G3*N27</f>
        <v>660000</v>
      </c>
      <c r="I11" s="119"/>
      <c r="J11" s="20"/>
      <c r="L11" t="s">
        <v>30</v>
      </c>
      <c r="M11" s="3"/>
      <c r="N11" s="3">
        <f t="shared" ref="N11" si="0">H11</f>
        <v>660000</v>
      </c>
    </row>
    <row r="12" spans="2:16" x14ac:dyDescent="0.35">
      <c r="B12" s="102" t="s">
        <v>4</v>
      </c>
      <c r="C12" s="128">
        <f>C44+C74</f>
        <v>0</v>
      </c>
      <c r="D12" s="128">
        <f t="shared" ref="D12:E12" si="1">D44+D74</f>
        <v>0</v>
      </c>
      <c r="E12" s="129">
        <f t="shared" si="1"/>
        <v>0</v>
      </c>
      <c r="F12" s="102"/>
      <c r="G12" s="130">
        <f>E44</f>
        <v>0</v>
      </c>
      <c r="H12" s="130">
        <f>E74</f>
        <v>0</v>
      </c>
      <c r="I12" s="119"/>
      <c r="J12" s="20"/>
      <c r="K12" s="3"/>
      <c r="L12" t="s">
        <v>4</v>
      </c>
      <c r="M12" s="3"/>
      <c r="N12" s="3"/>
      <c r="O12" s="17"/>
    </row>
    <row r="13" spans="2:16" x14ac:dyDescent="0.35">
      <c r="B13" s="102" t="s">
        <v>76</v>
      </c>
      <c r="C13" s="128">
        <v>0</v>
      </c>
      <c r="D13" s="128">
        <f>Balans_20191231!E16+Balans_20191231!F16</f>
        <v>25692</v>
      </c>
      <c r="E13" s="129">
        <v>0</v>
      </c>
      <c r="F13" s="102"/>
      <c r="G13" s="130"/>
      <c r="H13" s="130"/>
      <c r="I13" s="119"/>
      <c r="J13" s="20"/>
      <c r="K13" s="3"/>
      <c r="M13" s="3"/>
      <c r="N13" s="3"/>
      <c r="O13" s="17"/>
    </row>
    <row r="14" spans="2:16" x14ac:dyDescent="0.35">
      <c r="B14" s="121" t="s">
        <v>60</v>
      </c>
      <c r="C14" s="131">
        <v>50000</v>
      </c>
      <c r="D14" s="131">
        <f>Balans_20191231!F15</f>
        <v>48356</v>
      </c>
      <c r="E14" s="132">
        <v>65000</v>
      </c>
      <c r="F14" s="102"/>
      <c r="G14" s="130">
        <f>E45</f>
        <v>0</v>
      </c>
      <c r="H14" s="130">
        <f>E14</f>
        <v>65000</v>
      </c>
      <c r="I14" s="119"/>
      <c r="J14" s="20"/>
      <c r="K14" s="3"/>
      <c r="L14" t="s">
        <v>63</v>
      </c>
      <c r="M14" s="3"/>
      <c r="N14" s="3">
        <v>45000</v>
      </c>
      <c r="O14" s="3"/>
      <c r="P14" s="18"/>
    </row>
    <row r="15" spans="2:16" x14ac:dyDescent="0.35">
      <c r="B15" s="143" t="s">
        <v>5</v>
      </c>
      <c r="C15" s="144">
        <f>SUM(C10:C14)</f>
        <v>1649378</v>
      </c>
      <c r="D15" s="144">
        <f>SUM(D10:D14)</f>
        <v>1659874</v>
      </c>
      <c r="E15" s="145">
        <f>SUM(E10:E14)</f>
        <v>1728200</v>
      </c>
      <c r="F15" s="146"/>
      <c r="G15" s="147">
        <f>SUM(G10:G14)</f>
        <v>1003200</v>
      </c>
      <c r="H15" s="147">
        <f>SUM(H10:H14)</f>
        <v>725000</v>
      </c>
      <c r="I15" s="119"/>
      <c r="J15" s="20"/>
      <c r="K15" s="22"/>
      <c r="L15" s="2" t="s">
        <v>65</v>
      </c>
      <c r="M15" s="3"/>
      <c r="N15" s="3">
        <v>20000</v>
      </c>
      <c r="O15" s="3"/>
      <c r="P15" s="18"/>
    </row>
    <row r="16" spans="2:16" x14ac:dyDescent="0.35">
      <c r="B16" s="124"/>
      <c r="C16" s="133"/>
      <c r="D16" s="133"/>
      <c r="E16" s="134"/>
      <c r="F16" s="102"/>
      <c r="G16" s="130"/>
      <c r="H16" s="130"/>
      <c r="I16" s="119"/>
      <c r="J16" s="20"/>
      <c r="K16" s="22"/>
      <c r="L16" s="4" t="s">
        <v>5</v>
      </c>
      <c r="M16" s="13">
        <f>SUM(M10:M15)</f>
        <v>1003200</v>
      </c>
      <c r="N16" s="13">
        <f>SUM(N10:N15)</f>
        <v>725000</v>
      </c>
      <c r="O16" s="3"/>
    </row>
    <row r="17" spans="2:19" x14ac:dyDescent="0.35">
      <c r="B17" s="135" t="s">
        <v>6</v>
      </c>
      <c r="C17" s="125"/>
      <c r="D17" s="125"/>
      <c r="E17" s="126"/>
      <c r="F17" s="102"/>
      <c r="G17" s="136"/>
      <c r="H17" s="136"/>
      <c r="I17" s="119"/>
      <c r="J17" s="20"/>
      <c r="L17" s="24"/>
      <c r="M17" s="22"/>
      <c r="N17" s="22"/>
      <c r="O17" s="3"/>
    </row>
    <row r="18" spans="2:19" x14ac:dyDescent="0.35">
      <c r="B18" s="102" t="s">
        <v>7</v>
      </c>
      <c r="C18" s="128">
        <v>-175000</v>
      </c>
      <c r="D18" s="128">
        <f>Balans_20191231!F18</f>
        <v>-467692</v>
      </c>
      <c r="E18" s="129">
        <f>H18</f>
        <v>-175000</v>
      </c>
      <c r="F18" s="102"/>
      <c r="G18" s="130">
        <f>E49</f>
        <v>0</v>
      </c>
      <c r="H18" s="130">
        <f>C18</f>
        <v>-175000</v>
      </c>
      <c r="I18" s="119"/>
      <c r="J18" s="20"/>
      <c r="K18" s="6"/>
      <c r="L18" s="1"/>
      <c r="M18" s="22"/>
      <c r="N18" s="22"/>
      <c r="O18" s="3"/>
    </row>
    <row r="19" spans="2:19" x14ac:dyDescent="0.35">
      <c r="B19" s="102" t="s">
        <v>8</v>
      </c>
      <c r="C19" s="128">
        <v>-300000</v>
      </c>
      <c r="D19" s="128">
        <v>-300000</v>
      </c>
      <c r="E19" s="154">
        <v>-300000</v>
      </c>
      <c r="F19" s="102"/>
      <c r="G19" s="130">
        <f t="shared" ref="G19:G27" si="2">E50</f>
        <v>0</v>
      </c>
      <c r="H19" s="130">
        <f>E19</f>
        <v>-300000</v>
      </c>
      <c r="I19" s="130"/>
      <c r="J19" s="3"/>
      <c r="K19" s="3"/>
      <c r="L19" s="1"/>
      <c r="M19" s="22"/>
      <c r="N19" s="22"/>
      <c r="O19" s="3"/>
    </row>
    <row r="20" spans="2:19" x14ac:dyDescent="0.35">
      <c r="B20" s="102" t="s">
        <v>9</v>
      </c>
      <c r="C20" s="128">
        <v>-595000</v>
      </c>
      <c r="D20" s="128">
        <f>Balans_20191231!E17</f>
        <v>-739853</v>
      </c>
      <c r="E20" s="129">
        <v>-730000</v>
      </c>
      <c r="F20" s="102"/>
      <c r="G20" s="130">
        <f>E20</f>
        <v>-730000</v>
      </c>
      <c r="H20" s="130">
        <f t="shared" ref="H20:H27" si="3">E81</f>
        <v>0</v>
      </c>
      <c r="I20" s="130"/>
      <c r="J20" s="3"/>
      <c r="K20" s="3"/>
      <c r="L20" s="1"/>
      <c r="M20" s="3"/>
      <c r="N20" s="3"/>
    </row>
    <row r="21" spans="2:19" x14ac:dyDescent="0.35">
      <c r="B21" s="102" t="s">
        <v>36</v>
      </c>
      <c r="C21" s="128">
        <v>-200000</v>
      </c>
      <c r="D21" s="128">
        <v>-200000</v>
      </c>
      <c r="E21" s="154">
        <v>-200000</v>
      </c>
      <c r="F21" s="102"/>
      <c r="G21" s="130">
        <f>E21</f>
        <v>-200000</v>
      </c>
      <c r="H21" s="130">
        <f t="shared" si="3"/>
        <v>0</v>
      </c>
      <c r="I21" s="130"/>
      <c r="J21" s="3"/>
      <c r="K21" s="3"/>
      <c r="L21" s="26" t="s">
        <v>35</v>
      </c>
      <c r="M21" s="3"/>
      <c r="N21" s="3"/>
    </row>
    <row r="22" spans="2:19" x14ac:dyDescent="0.35">
      <c r="B22" s="102" t="s">
        <v>10</v>
      </c>
      <c r="C22" s="128">
        <v>0</v>
      </c>
      <c r="D22" s="128">
        <v>0</v>
      </c>
      <c r="E22" s="129">
        <f t="shared" ref="E22" si="4">E53+E84</f>
        <v>0</v>
      </c>
      <c r="F22" s="102"/>
      <c r="G22" s="130">
        <f t="shared" si="2"/>
        <v>0</v>
      </c>
      <c r="H22" s="130">
        <f t="shared" si="3"/>
        <v>0</v>
      </c>
      <c r="I22" s="130"/>
      <c r="J22" s="3"/>
      <c r="K22" s="3"/>
      <c r="L22" s="26" t="s">
        <v>66</v>
      </c>
      <c r="M22" s="3"/>
      <c r="N22" s="3"/>
    </row>
    <row r="23" spans="2:19" x14ac:dyDescent="0.35">
      <c r="B23" s="102" t="s">
        <v>20</v>
      </c>
      <c r="C23" s="128">
        <v>0</v>
      </c>
      <c r="D23" s="128">
        <v>0</v>
      </c>
      <c r="E23" s="129">
        <f t="shared" ref="E23:E24" si="5">E54+E84</f>
        <v>0</v>
      </c>
      <c r="F23" s="102"/>
      <c r="G23" s="130">
        <f t="shared" si="2"/>
        <v>0</v>
      </c>
      <c r="H23" s="130">
        <f t="shared" si="3"/>
        <v>0</v>
      </c>
      <c r="I23" s="130"/>
      <c r="J23" s="3"/>
      <c r="K23" s="3"/>
      <c r="M23" s="3"/>
      <c r="N23" s="3"/>
    </row>
    <row r="24" spans="2:19" x14ac:dyDescent="0.35">
      <c r="B24" s="102" t="s">
        <v>29</v>
      </c>
      <c r="C24" s="128">
        <v>0</v>
      </c>
      <c r="D24" s="128">
        <v>0</v>
      </c>
      <c r="E24" s="129">
        <f t="shared" si="5"/>
        <v>0</v>
      </c>
      <c r="F24" s="102"/>
      <c r="G24" s="130">
        <f t="shared" si="2"/>
        <v>0</v>
      </c>
      <c r="H24" s="130">
        <f t="shared" si="3"/>
        <v>0</v>
      </c>
      <c r="I24" s="130"/>
      <c r="J24" s="3"/>
      <c r="K24" s="3"/>
      <c r="M24" s="28"/>
      <c r="N24" s="27" t="s">
        <v>33</v>
      </c>
    </row>
    <row r="25" spans="2:19" x14ac:dyDescent="0.35">
      <c r="B25" s="102" t="s">
        <v>11</v>
      </c>
      <c r="C25" s="128">
        <v>-8500</v>
      </c>
      <c r="D25" s="128">
        <v>0</v>
      </c>
      <c r="E25" s="129">
        <v>9000</v>
      </c>
      <c r="F25" s="102"/>
      <c r="G25" s="130">
        <f>E25</f>
        <v>9000</v>
      </c>
      <c r="H25" s="130">
        <f t="shared" si="3"/>
        <v>0</v>
      </c>
      <c r="I25" s="130"/>
      <c r="J25" s="3"/>
      <c r="K25" s="3"/>
      <c r="L25" s="5" t="s">
        <v>28</v>
      </c>
      <c r="M25" s="27" t="s">
        <v>27</v>
      </c>
      <c r="N25" s="27" t="s">
        <v>34</v>
      </c>
      <c r="O25" s="27" t="s">
        <v>19</v>
      </c>
    </row>
    <row r="26" spans="2:19" x14ac:dyDescent="0.35">
      <c r="B26" s="102" t="s">
        <v>12</v>
      </c>
      <c r="C26" s="128">
        <v>0</v>
      </c>
      <c r="D26" s="128">
        <f t="shared" ref="D26:E27" si="6">D57+D87</f>
        <v>0</v>
      </c>
      <c r="E26" s="129">
        <f t="shared" si="6"/>
        <v>0</v>
      </c>
      <c r="F26" s="102"/>
      <c r="G26" s="130">
        <f t="shared" si="2"/>
        <v>0</v>
      </c>
      <c r="H26" s="130">
        <f t="shared" si="3"/>
        <v>0</v>
      </c>
      <c r="I26" s="130"/>
      <c r="J26" s="3"/>
      <c r="K26" s="3"/>
      <c r="L26" t="s">
        <v>31</v>
      </c>
      <c r="M26" s="28">
        <f>E3</f>
        <v>76000</v>
      </c>
      <c r="N26" s="57">
        <v>13.2</v>
      </c>
      <c r="O26" s="28">
        <f>M26*N26</f>
        <v>1003200</v>
      </c>
      <c r="Q26" t="s">
        <v>22</v>
      </c>
    </row>
    <row r="27" spans="2:19" x14ac:dyDescent="0.35">
      <c r="B27" s="102" t="s">
        <v>13</v>
      </c>
      <c r="C27" s="128">
        <v>0</v>
      </c>
      <c r="D27" s="128">
        <f t="shared" si="6"/>
        <v>0</v>
      </c>
      <c r="E27" s="129">
        <f t="shared" si="6"/>
        <v>0</v>
      </c>
      <c r="F27" s="102"/>
      <c r="G27" s="130">
        <f t="shared" si="2"/>
        <v>0</v>
      </c>
      <c r="H27" s="130">
        <f t="shared" si="3"/>
        <v>0</v>
      </c>
      <c r="I27" s="130"/>
      <c r="J27" s="3"/>
      <c r="K27" s="3"/>
      <c r="L27" t="s">
        <v>32</v>
      </c>
      <c r="M27" s="28">
        <f>G3</f>
        <v>40000</v>
      </c>
      <c r="N27" s="57">
        <v>16.5</v>
      </c>
      <c r="O27" s="28">
        <f>M27*N27</f>
        <v>660000</v>
      </c>
    </row>
    <row r="28" spans="2:19" x14ac:dyDescent="0.35">
      <c r="B28" s="102" t="s">
        <v>14</v>
      </c>
      <c r="C28" s="128">
        <v>-68000</v>
      </c>
      <c r="D28" s="128">
        <v>-68000</v>
      </c>
      <c r="E28" s="129">
        <v>-70000</v>
      </c>
      <c r="F28" s="102"/>
      <c r="G28" s="130">
        <f>E28/2</f>
        <v>-35000</v>
      </c>
      <c r="H28" s="130">
        <f>G28</f>
        <v>-35000</v>
      </c>
      <c r="I28" s="130"/>
      <c r="J28" s="3"/>
      <c r="K28" s="3"/>
      <c r="M28" s="28"/>
      <c r="N28" s="58"/>
      <c r="O28" s="27">
        <f>SUM(O26:O27)</f>
        <v>1663200</v>
      </c>
    </row>
    <row r="29" spans="2:19" x14ac:dyDescent="0.35">
      <c r="B29" s="102" t="s">
        <v>21</v>
      </c>
      <c r="C29" s="128">
        <v>-22000</v>
      </c>
      <c r="D29" s="128">
        <v>-25000</v>
      </c>
      <c r="E29" s="129">
        <v>-25000</v>
      </c>
      <c r="F29" s="102"/>
      <c r="G29" s="130">
        <f>E29/2</f>
        <v>-12500</v>
      </c>
      <c r="H29" s="130">
        <f>G29</f>
        <v>-12500</v>
      </c>
      <c r="I29" s="130"/>
      <c r="J29" s="3"/>
      <c r="K29" s="3"/>
      <c r="L29" s="61"/>
      <c r="M29" s="59"/>
      <c r="N29" s="60" t="s">
        <v>37</v>
      </c>
      <c r="O29" s="61"/>
      <c r="P29" s="60" t="s">
        <v>47</v>
      </c>
      <c r="Q29" s="61"/>
      <c r="R29" s="59"/>
      <c r="S29" s="62"/>
    </row>
    <row r="30" spans="2:19" x14ac:dyDescent="0.35">
      <c r="B30" s="102" t="s">
        <v>15</v>
      </c>
      <c r="C30" s="128">
        <v>-6000</v>
      </c>
      <c r="D30" s="128">
        <v>-5000</v>
      </c>
      <c r="E30" s="129">
        <v>-5000</v>
      </c>
      <c r="F30" s="102"/>
      <c r="G30" s="130">
        <f>E30/2</f>
        <v>-2500</v>
      </c>
      <c r="H30" s="130">
        <f>G30</f>
        <v>-2500</v>
      </c>
      <c r="I30" s="130"/>
      <c r="J30" s="3"/>
      <c r="K30" s="3"/>
      <c r="L30" s="98" t="s">
        <v>28</v>
      </c>
      <c r="M30" s="63" t="s">
        <v>27</v>
      </c>
      <c r="N30" s="64">
        <v>2019</v>
      </c>
      <c r="O30" s="65">
        <v>2020</v>
      </c>
      <c r="P30" s="64">
        <f>N30</f>
        <v>2019</v>
      </c>
      <c r="Q30" s="65">
        <f>O30</f>
        <v>2020</v>
      </c>
      <c r="R30" s="63" t="s">
        <v>38</v>
      </c>
      <c r="S30" s="62"/>
    </row>
    <row r="31" spans="2:19" x14ac:dyDescent="0.35">
      <c r="B31" s="121" t="s">
        <v>16</v>
      </c>
      <c r="C31" s="128">
        <v>-32000</v>
      </c>
      <c r="D31" s="128">
        <f>SUM(Balans_20191231!E19:F20)-SUM(D28:D30)</f>
        <v>-49530</v>
      </c>
      <c r="E31" s="129">
        <v>-45000</v>
      </c>
      <c r="F31" s="102"/>
      <c r="G31" s="130">
        <f>E31/2</f>
        <v>-22500</v>
      </c>
      <c r="H31" s="130">
        <f>G31</f>
        <v>-22500</v>
      </c>
      <c r="I31" s="130"/>
      <c r="J31" s="3"/>
      <c r="K31" s="22"/>
      <c r="L31" s="99" t="s">
        <v>31</v>
      </c>
      <c r="M31" s="66">
        <v>100</v>
      </c>
      <c r="N31" s="67">
        <v>13.23</v>
      </c>
      <c r="O31" s="68">
        <v>13.23</v>
      </c>
      <c r="P31" s="69">
        <f>M31*N31</f>
        <v>1323</v>
      </c>
      <c r="Q31" s="70">
        <f>M31*O31</f>
        <v>1323</v>
      </c>
      <c r="R31" s="71">
        <v>0</v>
      </c>
      <c r="S31" s="62"/>
    </row>
    <row r="32" spans="2:19" x14ac:dyDescent="0.35">
      <c r="B32" s="148" t="s">
        <v>17</v>
      </c>
      <c r="C32" s="149">
        <f>SUM(C18:C31)</f>
        <v>-1406500</v>
      </c>
      <c r="D32" s="149">
        <f>SUM(D18:D31)</f>
        <v>-1855075</v>
      </c>
      <c r="E32" s="150">
        <f t="shared" ref="E32" si="7">SUM(E18:E31)</f>
        <v>-1541000</v>
      </c>
      <c r="F32" s="146"/>
      <c r="G32" s="151">
        <f>SUM(G18:G31)</f>
        <v>-993500</v>
      </c>
      <c r="H32" s="151">
        <f>SUM(H18:H31)</f>
        <v>-547500</v>
      </c>
      <c r="I32" s="137"/>
      <c r="J32" s="22"/>
      <c r="L32" s="99" t="s">
        <v>32</v>
      </c>
      <c r="M32" s="66">
        <v>100</v>
      </c>
      <c r="N32" s="67">
        <v>16.57</v>
      </c>
      <c r="O32" s="68">
        <v>16.57</v>
      </c>
      <c r="P32" s="69">
        <f>M32*N32</f>
        <v>1657</v>
      </c>
      <c r="Q32" s="70">
        <f>M32*O32</f>
        <v>1657</v>
      </c>
      <c r="R32" s="71">
        <f>Q32-P32</f>
        <v>0</v>
      </c>
      <c r="S32" s="62"/>
    </row>
    <row r="33" spans="2:19" x14ac:dyDescent="0.35">
      <c r="B33" s="171"/>
      <c r="C33" s="171"/>
      <c r="D33" s="172" t="s">
        <v>80</v>
      </c>
      <c r="E33" s="173">
        <f>(-E32-E15)*-1</f>
        <v>187200</v>
      </c>
      <c r="F33" s="171"/>
      <c r="G33" s="174">
        <f>(-G32-G15)*-1</f>
        <v>9700</v>
      </c>
      <c r="H33" s="174">
        <f>(-H32-H15)*-1</f>
        <v>177500</v>
      </c>
      <c r="K33" s="22"/>
      <c r="L33" s="80"/>
      <c r="M33" s="73"/>
      <c r="N33" s="74"/>
      <c r="O33" s="75"/>
      <c r="P33" s="76">
        <f>SUM(P31:P32)</f>
        <v>2980</v>
      </c>
      <c r="Q33" s="77">
        <f t="shared" ref="Q33:R33" si="8">SUM(Q31:Q32)</f>
        <v>2980</v>
      </c>
      <c r="R33" s="78">
        <f t="shared" si="8"/>
        <v>0</v>
      </c>
      <c r="S33" s="162">
        <f>Q33/P33-1</f>
        <v>0</v>
      </c>
    </row>
    <row r="34" spans="2:19" x14ac:dyDescent="0.35">
      <c r="K34" s="3"/>
      <c r="L34" s="99"/>
      <c r="M34" s="66"/>
      <c r="N34" s="67"/>
      <c r="O34" s="68"/>
      <c r="P34" s="69"/>
      <c r="Q34" s="70"/>
      <c r="R34" s="71"/>
      <c r="S34" s="163"/>
    </row>
    <row r="35" spans="2:19" x14ac:dyDescent="0.35">
      <c r="D35" s="155">
        <f>D15+D32</f>
        <v>-195201</v>
      </c>
      <c r="E35" s="156"/>
      <c r="F35" s="16"/>
      <c r="G35" s="16"/>
      <c r="H35" s="157"/>
      <c r="K35" s="3"/>
      <c r="L35" s="99" t="s">
        <v>31</v>
      </c>
      <c r="M35" s="66">
        <v>80</v>
      </c>
      <c r="N35" s="67">
        <v>13.23</v>
      </c>
      <c r="O35" s="68">
        <f>O31</f>
        <v>13.23</v>
      </c>
      <c r="P35" s="69">
        <f>M35*N35</f>
        <v>1058.4000000000001</v>
      </c>
      <c r="Q35" s="70">
        <f>M35*O35</f>
        <v>1058.4000000000001</v>
      </c>
      <c r="R35" s="71">
        <v>0</v>
      </c>
      <c r="S35" s="163"/>
    </row>
    <row r="36" spans="2:19" x14ac:dyDescent="0.35">
      <c r="B36" s="1"/>
      <c r="D36" s="158" t="s">
        <v>77</v>
      </c>
      <c r="E36" s="159"/>
      <c r="F36" s="160"/>
      <c r="G36" s="160"/>
      <c r="H36" s="161"/>
      <c r="K36" s="23"/>
      <c r="L36" s="99" t="s">
        <v>32</v>
      </c>
      <c r="M36" s="66">
        <v>80</v>
      </c>
      <c r="N36" s="67">
        <v>16.57</v>
      </c>
      <c r="O36" s="68">
        <f>O32</f>
        <v>16.57</v>
      </c>
      <c r="P36" s="69">
        <f>M36*N36</f>
        <v>1325.6</v>
      </c>
      <c r="Q36" s="70">
        <f>M36*O36</f>
        <v>1325.6</v>
      </c>
      <c r="R36" s="71">
        <f>Q36-P36</f>
        <v>0</v>
      </c>
      <c r="S36" s="163"/>
    </row>
    <row r="37" spans="2:19" x14ac:dyDescent="0.35">
      <c r="B37" s="1"/>
      <c r="C37" s="30"/>
      <c r="J37" s="5" t="s">
        <v>64</v>
      </c>
      <c r="L37" s="80"/>
      <c r="M37" s="72"/>
      <c r="N37" s="79"/>
      <c r="O37" s="80"/>
      <c r="P37" s="76">
        <f>SUM(P35:P36)</f>
        <v>2384</v>
      </c>
      <c r="Q37" s="77">
        <f t="shared" ref="Q37" si="9">SUM(Q35:Q36)</f>
        <v>2384</v>
      </c>
      <c r="R37" s="78">
        <f t="shared" ref="R37" si="10">SUM(R35:R36)</f>
        <v>0</v>
      </c>
      <c r="S37" s="162">
        <f>Q37/P37-1</f>
        <v>0</v>
      </c>
    </row>
    <row r="38" spans="2:19" x14ac:dyDescent="0.35">
      <c r="C38" s="32"/>
      <c r="D38" s="30"/>
      <c r="F38" s="33" t="s">
        <v>78</v>
      </c>
      <c r="G38" s="3">
        <f>Balans_20191231!E21</f>
        <v>1729182</v>
      </c>
      <c r="H38" s="3">
        <f>Balans_20191231!F21</f>
        <v>1542178</v>
      </c>
      <c r="I38" s="3"/>
      <c r="J38" s="100">
        <f>SUM(G38:H38)</f>
        <v>3271360</v>
      </c>
      <c r="M38" s="3"/>
      <c r="N38" s="3"/>
    </row>
    <row r="39" spans="2:19" x14ac:dyDescent="0.35">
      <c r="C39" s="30"/>
      <c r="D39" s="32"/>
      <c r="E39" s="23"/>
      <c r="F39" s="33" t="s">
        <v>79</v>
      </c>
      <c r="G39" s="32">
        <f>G38+G15+G32</f>
        <v>1738882</v>
      </c>
      <c r="H39" s="32">
        <f>H38+H15+H32</f>
        <v>1719678</v>
      </c>
      <c r="I39" s="32"/>
      <c r="J39" s="100">
        <f>SUM(G39:H39)</f>
        <v>3458560</v>
      </c>
      <c r="M39" s="3"/>
      <c r="N39" s="3"/>
    </row>
    <row r="40" spans="2:19" x14ac:dyDescent="0.35">
      <c r="C40" s="20"/>
      <c r="D40" s="20"/>
      <c r="E40" s="12"/>
      <c r="M40" s="22"/>
      <c r="N40" s="22"/>
    </row>
    <row r="41" spans="2:19" x14ac:dyDescent="0.35">
      <c r="B41" s="1"/>
      <c r="C41" s="30"/>
      <c r="D41" s="30"/>
      <c r="M41" s="3"/>
      <c r="N41" s="3"/>
      <c r="O41" s="29"/>
      <c r="Q41" s="29"/>
      <c r="R41" s="18"/>
    </row>
    <row r="42" spans="2:19" x14ac:dyDescent="0.35">
      <c r="C42" s="6"/>
      <c r="D42" s="6"/>
      <c r="E42" s="7"/>
      <c r="M42" s="23"/>
      <c r="N42" s="23"/>
      <c r="O42" s="29"/>
      <c r="Q42" s="29"/>
      <c r="R42" s="18"/>
    </row>
    <row r="43" spans="2:19" x14ac:dyDescent="0.35">
      <c r="C43" s="30"/>
      <c r="D43" s="30"/>
    </row>
    <row r="44" spans="2:19" x14ac:dyDescent="0.35">
      <c r="C44" s="6"/>
      <c r="D44" s="6"/>
      <c r="E44" s="7"/>
    </row>
    <row r="45" spans="2:19" x14ac:dyDescent="0.35">
      <c r="C45" s="6"/>
      <c r="D45" s="6"/>
      <c r="E45" s="7"/>
      <c r="O45" s="11"/>
      <c r="P45" s="11"/>
    </row>
    <row r="46" spans="2:19" x14ac:dyDescent="0.35">
      <c r="B46" s="1"/>
      <c r="C46" s="32"/>
      <c r="D46" s="32"/>
      <c r="E46" s="23"/>
      <c r="O46" s="3"/>
      <c r="P46" s="3"/>
    </row>
    <row r="47" spans="2:19" x14ac:dyDescent="0.35">
      <c r="B47" s="1"/>
      <c r="C47" s="32"/>
      <c r="D47" s="32"/>
      <c r="E47" s="23"/>
      <c r="O47" s="3"/>
      <c r="P47" s="3"/>
    </row>
    <row r="48" spans="2:19" x14ac:dyDescent="0.35">
      <c r="B48" s="1"/>
      <c r="C48" s="30"/>
      <c r="D48" s="30"/>
      <c r="P48" s="3"/>
    </row>
    <row r="49" spans="2:7" x14ac:dyDescent="0.35">
      <c r="C49" s="6"/>
      <c r="D49" s="6"/>
      <c r="E49" s="7"/>
    </row>
    <row r="50" spans="2:7" x14ac:dyDescent="0.35">
      <c r="C50" s="6"/>
      <c r="D50" s="6"/>
      <c r="E50" s="7"/>
    </row>
    <row r="51" spans="2:7" x14ac:dyDescent="0.35">
      <c r="C51" s="6"/>
      <c r="D51" s="6"/>
      <c r="E51" s="7"/>
      <c r="G51" s="3"/>
    </row>
    <row r="52" spans="2:7" x14ac:dyDescent="0.35">
      <c r="C52" s="6"/>
      <c r="D52" s="6"/>
      <c r="E52" s="7"/>
    </row>
    <row r="53" spans="2:7" x14ac:dyDescent="0.35">
      <c r="C53" s="6"/>
      <c r="D53" s="6"/>
      <c r="E53" s="7"/>
    </row>
    <row r="54" spans="2:7" x14ac:dyDescent="0.35">
      <c r="C54" s="6"/>
      <c r="D54" s="6"/>
      <c r="E54" s="7"/>
    </row>
    <row r="55" spans="2:7" x14ac:dyDescent="0.35">
      <c r="C55" s="6"/>
      <c r="D55" s="6"/>
      <c r="E55" s="7"/>
    </row>
    <row r="56" spans="2:7" x14ac:dyDescent="0.35">
      <c r="C56" s="6"/>
      <c r="D56" s="6"/>
      <c r="E56" s="7"/>
    </row>
    <row r="57" spans="2:7" x14ac:dyDescent="0.35">
      <c r="C57" s="6"/>
      <c r="D57" s="6"/>
      <c r="E57" s="7"/>
    </row>
    <row r="58" spans="2:7" x14ac:dyDescent="0.35">
      <c r="C58" s="6"/>
      <c r="D58" s="6"/>
      <c r="E58" s="7"/>
    </row>
    <row r="59" spans="2:7" x14ac:dyDescent="0.35">
      <c r="C59" s="6"/>
      <c r="D59" s="6"/>
      <c r="E59" s="7"/>
    </row>
    <row r="60" spans="2:7" x14ac:dyDescent="0.35">
      <c r="C60" s="6"/>
      <c r="D60" s="6"/>
      <c r="E60" s="7"/>
    </row>
    <row r="61" spans="2:7" x14ac:dyDescent="0.35">
      <c r="C61" s="6"/>
      <c r="D61" s="6"/>
      <c r="E61" s="7"/>
    </row>
    <row r="62" spans="2:7" x14ac:dyDescent="0.35">
      <c r="C62" s="6"/>
      <c r="D62" s="6"/>
      <c r="E62" s="7"/>
    </row>
    <row r="63" spans="2:7" x14ac:dyDescent="0.35">
      <c r="B63" s="1"/>
      <c r="C63" s="32"/>
      <c r="D63" s="32"/>
      <c r="E63" s="23"/>
    </row>
    <row r="64" spans="2:7" x14ac:dyDescent="0.35">
      <c r="C64" s="30"/>
      <c r="D64" s="30"/>
    </row>
    <row r="65" spans="2:5" x14ac:dyDescent="0.35">
      <c r="B65" s="1"/>
      <c r="C65" s="32"/>
      <c r="D65" s="32"/>
      <c r="E65" s="23"/>
    </row>
    <row r="66" spans="2:5" x14ac:dyDescent="0.35">
      <c r="C66" s="30"/>
      <c r="D66" s="30"/>
    </row>
    <row r="67" spans="2:5" x14ac:dyDescent="0.35">
      <c r="C67" s="30"/>
      <c r="D67" s="30"/>
    </row>
    <row r="68" spans="2:5" x14ac:dyDescent="0.35">
      <c r="B68" s="5"/>
      <c r="C68" s="31"/>
      <c r="D68" s="31"/>
      <c r="E68" s="9"/>
    </row>
    <row r="69" spans="2:5" x14ac:dyDescent="0.35">
      <c r="B69" s="1"/>
      <c r="C69" s="20"/>
      <c r="D69" s="20"/>
      <c r="E69" s="12"/>
    </row>
    <row r="70" spans="2:5" x14ac:dyDescent="0.35">
      <c r="C70" s="20"/>
      <c r="D70" s="20"/>
      <c r="E70" s="12"/>
    </row>
    <row r="71" spans="2:5" x14ac:dyDescent="0.35">
      <c r="B71" s="1"/>
      <c r="C71" s="30"/>
      <c r="D71" s="30"/>
    </row>
    <row r="72" spans="2:5" x14ac:dyDescent="0.35">
      <c r="C72" s="6"/>
      <c r="D72" s="6"/>
      <c r="E72" s="7"/>
    </row>
    <row r="73" spans="2:5" x14ac:dyDescent="0.35">
      <c r="C73" s="6"/>
      <c r="D73" s="6"/>
      <c r="E73" s="7"/>
    </row>
    <row r="74" spans="2:5" x14ac:dyDescent="0.35">
      <c r="C74" s="6"/>
      <c r="D74" s="6"/>
      <c r="E74" s="7"/>
    </row>
    <row r="75" spans="2:5" x14ac:dyDescent="0.35">
      <c r="C75" s="6"/>
      <c r="D75" s="6"/>
      <c r="E75" s="7"/>
    </row>
    <row r="76" spans="2:5" x14ac:dyDescent="0.35">
      <c r="B76" s="1"/>
      <c r="C76" s="32"/>
      <c r="D76" s="32"/>
      <c r="E76" s="23"/>
    </row>
    <row r="77" spans="2:5" x14ac:dyDescent="0.35">
      <c r="B77" s="1"/>
      <c r="C77" s="32"/>
      <c r="D77" s="32"/>
      <c r="E77" s="23"/>
    </row>
    <row r="78" spans="2:5" x14ac:dyDescent="0.35">
      <c r="B78" s="1"/>
      <c r="C78" s="30"/>
      <c r="D78" s="30"/>
    </row>
    <row r="79" spans="2:5" x14ac:dyDescent="0.35">
      <c r="C79" s="6"/>
      <c r="D79" s="6"/>
      <c r="E79" s="7"/>
    </row>
    <row r="80" spans="2:5" x14ac:dyDescent="0.35">
      <c r="C80" s="6"/>
      <c r="D80" s="6"/>
      <c r="E80" s="7"/>
    </row>
    <row r="81" spans="2:5" x14ac:dyDescent="0.35">
      <c r="C81" s="6"/>
      <c r="D81" s="6"/>
      <c r="E81" s="7"/>
    </row>
    <row r="82" spans="2:5" x14ac:dyDescent="0.35">
      <c r="C82" s="6"/>
      <c r="D82" s="6"/>
      <c r="E82" s="7"/>
    </row>
    <row r="83" spans="2:5" x14ac:dyDescent="0.35">
      <c r="C83" s="6"/>
      <c r="D83" s="6"/>
      <c r="E83" s="7"/>
    </row>
    <row r="84" spans="2:5" x14ac:dyDescent="0.35">
      <c r="C84" s="6"/>
      <c r="D84" s="6"/>
      <c r="E84" s="7"/>
    </row>
    <row r="85" spans="2:5" x14ac:dyDescent="0.35">
      <c r="C85" s="6"/>
      <c r="D85" s="6"/>
      <c r="E85" s="7"/>
    </row>
    <row r="86" spans="2:5" x14ac:dyDescent="0.35">
      <c r="C86" s="6"/>
      <c r="D86" s="6"/>
      <c r="E86" s="7"/>
    </row>
    <row r="87" spans="2:5" x14ac:dyDescent="0.35">
      <c r="C87" s="6"/>
      <c r="D87" s="6"/>
      <c r="E87" s="7"/>
    </row>
    <row r="88" spans="2:5" x14ac:dyDescent="0.35">
      <c r="C88" s="6"/>
      <c r="D88" s="6"/>
      <c r="E88" s="7"/>
    </row>
    <row r="89" spans="2:5" x14ac:dyDescent="0.35">
      <c r="C89" s="6"/>
      <c r="D89" s="6"/>
      <c r="E89" s="7"/>
    </row>
    <row r="90" spans="2:5" x14ac:dyDescent="0.35">
      <c r="C90" s="6"/>
      <c r="D90" s="6"/>
      <c r="E90" s="7"/>
    </row>
    <row r="91" spans="2:5" x14ac:dyDescent="0.35">
      <c r="C91" s="6"/>
      <c r="D91" s="6"/>
      <c r="E91" s="7"/>
    </row>
    <row r="92" spans="2:5" x14ac:dyDescent="0.35">
      <c r="C92" s="6"/>
      <c r="D92" s="6"/>
      <c r="E92" s="7"/>
    </row>
    <row r="93" spans="2:5" x14ac:dyDescent="0.35">
      <c r="B93" s="1"/>
      <c r="C93" s="32"/>
      <c r="D93" s="32"/>
      <c r="E93" s="23"/>
    </row>
    <row r="94" spans="2:5" x14ac:dyDescent="0.35">
      <c r="C94" s="30"/>
      <c r="D94" s="30"/>
    </row>
    <row r="95" spans="2:5" x14ac:dyDescent="0.35">
      <c r="B95" s="1"/>
      <c r="C95" s="32"/>
      <c r="D95" s="32"/>
      <c r="E95" s="23"/>
    </row>
  </sheetData>
  <pageMargins left="0.70866141732283472" right="0.70866141732283472" top="0.74803149606299213" bottom="0.74803149606299213" header="0.31496062992125984" footer="0.31496062992125984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0:M29"/>
  <sheetViews>
    <sheetView showGridLines="0" topLeftCell="B18" zoomScale="130" zoomScaleNormal="130" workbookViewId="0">
      <selection activeCell="K20" sqref="K20"/>
    </sheetView>
  </sheetViews>
  <sheetFormatPr defaultRowHeight="14.5" x14ac:dyDescent="0.35"/>
  <cols>
    <col min="1" max="1" width="15.81640625" customWidth="1"/>
    <col min="3" max="3" width="2.54296875" customWidth="1"/>
    <col min="4" max="4" width="37" customWidth="1"/>
    <col min="5" max="5" width="13.453125" customWidth="1"/>
    <col min="6" max="6" width="12.54296875" customWidth="1"/>
    <col min="7" max="7" width="13.7265625" bestFit="1" customWidth="1"/>
    <col min="8" max="8" width="2.26953125" customWidth="1"/>
    <col min="9" max="9" width="4.1796875" customWidth="1"/>
    <col min="10" max="10" width="12.54296875" bestFit="1" customWidth="1"/>
    <col min="11" max="11" width="15.453125" bestFit="1" customWidth="1"/>
    <col min="13" max="13" width="3.81640625" customWidth="1"/>
  </cols>
  <sheetData>
    <row r="10" spans="4:13" ht="28.5" x14ac:dyDescent="0.65">
      <c r="E10" s="152" t="s">
        <v>68</v>
      </c>
    </row>
    <row r="11" spans="4:13" ht="15" thickBot="1" x14ac:dyDescent="0.4">
      <c r="E11" s="5"/>
    </row>
    <row r="12" spans="4:13" ht="21.5" thickBot="1" x14ac:dyDescent="0.55000000000000004">
      <c r="E12" s="42" t="s">
        <v>39</v>
      </c>
      <c r="F12" s="43" t="s">
        <v>40</v>
      </c>
      <c r="G12" s="50" t="s">
        <v>45</v>
      </c>
    </row>
    <row r="13" spans="4:13" ht="19" thickBot="1" x14ac:dyDescent="0.5">
      <c r="D13" s="40" t="s">
        <v>69</v>
      </c>
      <c r="E13" s="44">
        <v>1572806</v>
      </c>
      <c r="F13" s="39">
        <v>1393755</v>
      </c>
      <c r="G13" s="51">
        <f>E13+F13</f>
        <v>2966561</v>
      </c>
      <c r="J13" s="86" t="s">
        <v>52</v>
      </c>
    </row>
    <row r="14" spans="4:13" ht="15.5" x14ac:dyDescent="0.35">
      <c r="D14" s="55" t="s">
        <v>70</v>
      </c>
      <c r="E14" s="45">
        <f>969994-E16</f>
        <v>954578.8</v>
      </c>
      <c r="F14" s="46">
        <f>641524-F16</f>
        <v>631247.19999999995</v>
      </c>
      <c r="G14" s="52">
        <f t="shared" ref="G14:G21" si="0">SUM(E14:F14)</f>
        <v>1585826</v>
      </c>
      <c r="J14" s="84">
        <f>(E14+0.6*48341)/'Till Årsstämman 2020'!N31</f>
        <v>74344.928193499625</v>
      </c>
      <c r="K14" s="84">
        <f>(F14+0.4*48341)/'Till Årsstämman 2020'!N32</f>
        <v>39262.739891369944</v>
      </c>
      <c r="L14" s="86" t="s">
        <v>71</v>
      </c>
      <c r="M14" s="86"/>
    </row>
    <row r="15" spans="4:13" ht="15.5" x14ac:dyDescent="0.35">
      <c r="D15" s="56" t="s">
        <v>48</v>
      </c>
      <c r="E15" s="47"/>
      <c r="F15" s="48">
        <v>48356</v>
      </c>
      <c r="G15" s="53">
        <f t="shared" si="0"/>
        <v>48356</v>
      </c>
      <c r="J15" s="84">
        <v>73960</v>
      </c>
      <c r="K15" s="84">
        <v>38980</v>
      </c>
      <c r="L15" s="86" t="s">
        <v>53</v>
      </c>
      <c r="M15" s="86"/>
    </row>
    <row r="16" spans="4:13" ht="15" customHeight="1" x14ac:dyDescent="0.35">
      <c r="D16" s="56" t="s">
        <v>58</v>
      </c>
      <c r="E16" s="47">
        <f>0.6*(48341-22649)</f>
        <v>15415.199999999999</v>
      </c>
      <c r="F16" s="48">
        <f>0.4*(48341-22649)</f>
        <v>10276.800000000001</v>
      </c>
      <c r="G16" s="53">
        <f t="shared" si="0"/>
        <v>25692</v>
      </c>
    </row>
    <row r="17" spans="2:12" x14ac:dyDescent="0.35">
      <c r="D17" s="56" t="s">
        <v>41</v>
      </c>
      <c r="E17" s="47">
        <v>-739853</v>
      </c>
      <c r="F17" s="48">
        <v>0</v>
      </c>
      <c r="G17" s="53">
        <f t="shared" si="0"/>
        <v>-739853</v>
      </c>
    </row>
    <row r="18" spans="2:12" x14ac:dyDescent="0.35">
      <c r="D18" s="56" t="s">
        <v>42</v>
      </c>
      <c r="E18" s="47">
        <v>0</v>
      </c>
      <c r="F18" s="48">
        <v>-467692</v>
      </c>
      <c r="G18" s="53">
        <f t="shared" si="0"/>
        <v>-467692</v>
      </c>
    </row>
    <row r="19" spans="2:12" x14ac:dyDescent="0.35">
      <c r="D19" s="56" t="s">
        <v>43</v>
      </c>
      <c r="E19" s="47">
        <f>-20000*0.5</f>
        <v>-10000</v>
      </c>
      <c r="F19" s="48">
        <f>E19</f>
        <v>-10000</v>
      </c>
      <c r="G19" s="53">
        <f t="shared" si="0"/>
        <v>-20000</v>
      </c>
    </row>
    <row r="20" spans="2:12" ht="21.75" customHeight="1" thickBot="1" x14ac:dyDescent="0.4">
      <c r="D20" s="56" t="s">
        <v>44</v>
      </c>
      <c r="E20" s="47">
        <f>-127530*0.5</f>
        <v>-63765</v>
      </c>
      <c r="F20" s="48">
        <f>E20</f>
        <v>-63765</v>
      </c>
      <c r="G20" s="53">
        <f t="shared" si="0"/>
        <v>-127530</v>
      </c>
    </row>
    <row r="21" spans="2:12" ht="19" thickBot="1" x14ac:dyDescent="0.5">
      <c r="D21" s="41" t="s">
        <v>72</v>
      </c>
      <c r="E21" s="49">
        <f>SUM(E13:E20)</f>
        <v>1729182</v>
      </c>
      <c r="F21" s="38">
        <f>SUM(F13:F20)</f>
        <v>1542178</v>
      </c>
      <c r="G21" s="54">
        <f t="shared" si="0"/>
        <v>3271360</v>
      </c>
      <c r="H21" s="34"/>
      <c r="J21" s="34"/>
      <c r="K21" s="34"/>
    </row>
    <row r="22" spans="2:12" ht="15" thickBot="1" x14ac:dyDescent="0.4">
      <c r="D22" s="33"/>
      <c r="E22" s="3"/>
      <c r="F22" s="3"/>
      <c r="G22" s="3"/>
      <c r="J22" s="33"/>
      <c r="K22" s="3"/>
      <c r="L22" t="s">
        <v>73</v>
      </c>
    </row>
    <row r="23" spans="2:12" ht="19" thickBot="1" x14ac:dyDescent="0.5">
      <c r="D23" s="35" t="s">
        <v>46</v>
      </c>
      <c r="E23" s="36">
        <f>E21-E13</f>
        <v>156376</v>
      </c>
      <c r="F23" s="36">
        <f>F21-F13</f>
        <v>148423</v>
      </c>
      <c r="G23" s="37">
        <f>G21-G13</f>
        <v>304799</v>
      </c>
    </row>
    <row r="24" spans="2:12" x14ac:dyDescent="0.35">
      <c r="B24" s="33"/>
      <c r="C24" s="3"/>
      <c r="D24" s="3"/>
      <c r="E24" s="3"/>
      <c r="G24" s="153"/>
    </row>
    <row r="25" spans="2:12" ht="15.5" x14ac:dyDescent="0.35">
      <c r="B25" s="81"/>
      <c r="C25" s="85"/>
      <c r="D25" s="83" t="s">
        <v>51</v>
      </c>
      <c r="E25" s="84">
        <v>800000</v>
      </c>
    </row>
    <row r="26" spans="2:12" ht="15.5" x14ac:dyDescent="0.35">
      <c r="B26" s="81"/>
      <c r="C26" s="82"/>
      <c r="D26" s="85" t="s">
        <v>49</v>
      </c>
      <c r="E26" s="84">
        <v>1200000</v>
      </c>
    </row>
    <row r="27" spans="2:12" ht="15.5" x14ac:dyDescent="0.35">
      <c r="B27" s="81"/>
      <c r="C27" s="81"/>
      <c r="D27" s="85" t="s">
        <v>50</v>
      </c>
      <c r="E27" s="84">
        <v>94000</v>
      </c>
      <c r="G27" s="3"/>
    </row>
    <row r="28" spans="2:12" x14ac:dyDescent="0.35">
      <c r="G28" s="3">
        <f>G23-500000</f>
        <v>-195201</v>
      </c>
    </row>
    <row r="29" spans="2:12" x14ac:dyDescent="0.35">
      <c r="E29" s="3"/>
      <c r="F29" s="3"/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6"/>
  <sheetViews>
    <sheetView showGridLines="0" workbookViewId="0">
      <selection activeCell="E11" sqref="E11"/>
    </sheetView>
  </sheetViews>
  <sheetFormatPr defaultRowHeight="14.5" x14ac:dyDescent="0.35"/>
  <cols>
    <col min="1" max="1" width="3.54296875" customWidth="1"/>
    <col min="2" max="2" width="32.81640625" customWidth="1"/>
    <col min="8" max="8" width="8.26953125" customWidth="1"/>
  </cols>
  <sheetData>
    <row r="2" spans="2:8" ht="15" thickBot="1" x14ac:dyDescent="0.4"/>
    <row r="3" spans="2:8" ht="16" thickBot="1" x14ac:dyDescent="0.4">
      <c r="B3" s="164" t="s">
        <v>54</v>
      </c>
      <c r="C3" s="167">
        <v>2019</v>
      </c>
      <c r="D3" s="165">
        <v>2018</v>
      </c>
      <c r="E3" s="87">
        <f>D3-1</f>
        <v>2017</v>
      </c>
      <c r="F3" s="87">
        <f t="shared" ref="F3:H3" si="0">E3-1</f>
        <v>2016</v>
      </c>
      <c r="G3" s="87">
        <f t="shared" si="0"/>
        <v>2015</v>
      </c>
      <c r="H3" s="88">
        <f t="shared" si="0"/>
        <v>2014</v>
      </c>
    </row>
    <row r="4" spans="2:8" x14ac:dyDescent="0.35">
      <c r="B4" s="89" t="s">
        <v>55</v>
      </c>
      <c r="C4" s="168">
        <v>1612</v>
      </c>
      <c r="D4" s="90">
        <v>1604</v>
      </c>
      <c r="E4" s="90">
        <v>1240</v>
      </c>
      <c r="F4" s="90">
        <v>1235</v>
      </c>
      <c r="G4" s="90">
        <v>739</v>
      </c>
      <c r="H4" s="91">
        <v>749</v>
      </c>
    </row>
    <row r="5" spans="2:8" x14ac:dyDescent="0.35">
      <c r="B5" s="92" t="s">
        <v>56</v>
      </c>
      <c r="C5" s="169">
        <v>305</v>
      </c>
      <c r="D5" s="166">
        <v>925</v>
      </c>
      <c r="E5" s="93">
        <v>676</v>
      </c>
      <c r="F5" s="93">
        <v>610</v>
      </c>
      <c r="G5" s="93">
        <v>132</v>
      </c>
      <c r="H5" s="94">
        <v>241</v>
      </c>
    </row>
    <row r="6" spans="2:8" ht="15" thickBot="1" x14ac:dyDescent="0.4">
      <c r="B6" s="95" t="s">
        <v>57</v>
      </c>
      <c r="C6" s="170">
        <v>99.3</v>
      </c>
      <c r="D6" s="96">
        <v>94.3</v>
      </c>
      <c r="E6" s="96">
        <v>93.8</v>
      </c>
      <c r="F6" s="96">
        <v>94.1</v>
      </c>
      <c r="G6" s="96">
        <v>86.2</v>
      </c>
      <c r="H6" s="97">
        <v>92.8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Till Årsstämman 2020</vt:lpstr>
      <vt:lpstr>Balans_20191231</vt:lpstr>
      <vt:lpstr>Flerårsäversikt</vt:lpstr>
      <vt:lpstr>'Till Årsstämman 2020'!Utskriftsområde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Birgitta</dc:creator>
  <cp:lastModifiedBy>Anders o Stina Heldemar</cp:lastModifiedBy>
  <cp:lastPrinted>2020-05-06T12:41:31Z</cp:lastPrinted>
  <dcterms:created xsi:type="dcterms:W3CDTF">2010-03-04T16:06:44Z</dcterms:created>
  <dcterms:modified xsi:type="dcterms:W3CDTF">2020-05-06T12:41:38Z</dcterms:modified>
</cp:coreProperties>
</file>